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реня\Desktop\Работа\на сайт для размещения\"/>
    </mc:Choice>
  </mc:AlternateContent>
  <bookViews>
    <workbookView xWindow="-15" yWindow="5130" windowWidth="23250" windowHeight="5190"/>
  </bookViews>
  <sheets>
    <sheet name="Приложение 2" sheetId="7" r:id="rId1"/>
  </sheets>
  <calcPr calcId="152511" fullPrecision="0"/>
</workbook>
</file>

<file path=xl/calcChain.xml><?xml version="1.0" encoding="utf-8"?>
<calcChain xmlns="http://schemas.openxmlformats.org/spreadsheetml/2006/main">
  <c r="E15" i="7" l="1"/>
  <c r="C15" i="7"/>
  <c r="E37" i="7" l="1"/>
  <c r="C37" i="7" l="1"/>
  <c r="D59" i="7" l="1"/>
  <c r="C61" i="7"/>
  <c r="E61" i="7"/>
  <c r="E64" i="7"/>
  <c r="D62" i="7"/>
  <c r="E62" i="7"/>
  <c r="C62" i="7"/>
  <c r="D61" i="7"/>
  <c r="C59" i="7"/>
  <c r="C58" i="7"/>
  <c r="E59" i="7"/>
  <c r="D57" i="7"/>
  <c r="C57" i="7"/>
  <c r="C52" i="7"/>
  <c r="D50" i="7"/>
  <c r="C50" i="7"/>
  <c r="E69" i="7" l="1"/>
  <c r="D69" i="7"/>
  <c r="E67" i="7"/>
  <c r="D67" i="7"/>
  <c r="E65" i="7"/>
  <c r="E63" i="7"/>
  <c r="E58" i="7"/>
  <c r="E57" i="7"/>
  <c r="E56" i="7"/>
  <c r="E55" i="7"/>
  <c r="E54" i="7"/>
  <c r="E53" i="7"/>
  <c r="E52" i="7"/>
  <c r="E51" i="7"/>
  <c r="E50" i="7"/>
  <c r="E49" i="7"/>
  <c r="E48" i="7"/>
  <c r="E47" i="7"/>
  <c r="E45" i="7"/>
  <c r="D65" i="7"/>
  <c r="D64" i="7"/>
  <c r="D63" i="7"/>
  <c r="D58" i="7"/>
  <c r="D56" i="7"/>
  <c r="D55" i="7"/>
  <c r="D54" i="7"/>
  <c r="D53" i="7"/>
  <c r="D52" i="7"/>
  <c r="D51" i="7"/>
  <c r="D49" i="7"/>
  <c r="D48" i="7"/>
  <c r="C45" i="7"/>
  <c r="D45" i="7"/>
  <c r="C67" i="7"/>
  <c r="C65" i="7"/>
  <c r="C64" i="7"/>
  <c r="C63" i="7"/>
  <c r="C56" i="7"/>
  <c r="C55" i="7"/>
  <c r="C54" i="7"/>
  <c r="C53" i="7"/>
  <c r="C51" i="7"/>
  <c r="C49" i="7"/>
  <c r="C48" i="7"/>
  <c r="C47" i="7"/>
  <c r="D15" i="7" l="1"/>
  <c r="E68" i="7" l="1"/>
  <c r="D68" i="7"/>
  <c r="C68" i="7"/>
  <c r="E60" i="7" l="1"/>
  <c r="D60" i="7"/>
  <c r="C60" i="7"/>
  <c r="D47" i="7"/>
  <c r="D66" i="7"/>
  <c r="E66" i="7"/>
  <c r="C66" i="7"/>
  <c r="E46" i="7"/>
  <c r="D44" i="7"/>
  <c r="E44" i="7"/>
  <c r="C44" i="7"/>
  <c r="E14" i="7"/>
  <c r="D14" i="7"/>
  <c r="C14" i="7"/>
  <c r="D37" i="7"/>
  <c r="D35" i="7" s="1"/>
  <c r="E35" i="7"/>
  <c r="C35" i="7"/>
  <c r="D24" i="7"/>
  <c r="E24" i="7"/>
  <c r="C24" i="7"/>
  <c r="E18" i="7"/>
  <c r="C18" i="7"/>
  <c r="D18" i="7"/>
  <c r="E11" i="7"/>
  <c r="E10" i="7" s="1"/>
  <c r="D11" i="7"/>
  <c r="D10" i="7" s="1"/>
  <c r="C11" i="7"/>
  <c r="C10" i="7"/>
  <c r="C22" i="7"/>
  <c r="C12" i="7"/>
  <c r="D12" i="7"/>
  <c r="E12" i="7"/>
  <c r="D22" i="7"/>
  <c r="E22" i="7"/>
  <c r="C31" i="7"/>
  <c r="D31" i="7"/>
  <c r="E31" i="7"/>
  <c r="C33" i="7"/>
  <c r="D33" i="7"/>
  <c r="E33" i="7"/>
  <c r="C46" i="7" l="1"/>
  <c r="C43" i="7" s="1"/>
  <c r="C42" i="7" s="1"/>
  <c r="D46" i="7"/>
  <c r="E43" i="7"/>
  <c r="E42" i="7" s="1"/>
  <c r="C9" i="7"/>
  <c r="E9" i="7"/>
  <c r="D9" i="7"/>
  <c r="D43" i="7" l="1"/>
  <c r="D42" i="7" s="1"/>
  <c r="D70" i="7" s="1"/>
  <c r="C70" i="7"/>
  <c r="E70" i="7"/>
</calcChain>
</file>

<file path=xl/sharedStrings.xml><?xml version="1.0" encoding="utf-8"?>
<sst xmlns="http://schemas.openxmlformats.org/spreadsheetml/2006/main" count="133" uniqueCount="133">
  <si>
    <t>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</si>
  <si>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</si>
  <si>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</si>
  <si>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</si>
  <si>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</si>
  <si>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</si>
  <si>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</si>
  <si>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</si>
  <si>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</si>
  <si>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</si>
  <si>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</si>
  <si>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</si>
  <si>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  ПЕРЕЧИСЛЕНИЯ</t>
  </si>
  <si>
    <t>ИТОГО  ДОХОДОВ:</t>
  </si>
  <si>
    <t>2 02 20000 00 0000 150</t>
  </si>
  <si>
    <t>2 02 30000 00 0000 150</t>
  </si>
  <si>
    <t>2 02 40000 00 0000 150</t>
  </si>
  <si>
    <t>ГОСУДАРСТВЕННАЯ ПОШЛИНА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</si>
  <si>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</si>
  <si>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ОКАЗАНИЯ ПЛАТНЫХ УСЛУГ И КОМПЕНСАЦИИ ЗАТРАТ ГОСУДАРСТВА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</si>
  <si>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</si>
  <si>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Государственная пошлина</t>
  </si>
  <si>
    <t>1 14 06313 00 0000 430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</si>
  <si>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</si>
  <si>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Код бюджетной классификации Российской Федерации</t>
  </si>
  <si>
    <t>Наименование групп, подгрупп и статей доходов</t>
  </si>
  <si>
    <t>(тыс. рублей)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</si>
  <si>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</si>
  <si>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 (от уплаты акцизов на нефтепродукты)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</si>
  <si>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</si>
  <si>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</si>
  <si>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</si>
  <si>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</si>
  <si>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</si>
  <si>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Приложение 2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</si>
  <si>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</si>
  <si>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1 14 02000 00 0000 410</t>
  </si>
  <si>
    <t>2023 год</t>
  </si>
  <si>
    <t>2024 год</t>
  </si>
  <si>
    <t>2025 год</t>
  </si>
  <si>
    <t>Сумма</t>
  </si>
  <si>
    <t>Объем доходов бюджета Вологодского муниципального округа, формируемый за счет налоговых и неналоговых доходов, а также безвозмездных поступлений на 2023 год и плановый период 2024 и 2025 годов</t>
  </si>
  <si>
    <t>1 05 03000 01 0000 110</t>
  </si>
  <si>
    <t>1 01 00000 00 0000 000</t>
  </si>
  <si>
    <t>1 01 02000 01 0000 110</t>
  </si>
  <si>
    <t>1 03 00000 00 0000 000</t>
  </si>
  <si>
    <t>1 03 02000 01 0000 110</t>
  </si>
  <si>
    <t>1 05 00000 00 0000 000</t>
  </si>
  <si>
    <t>1 08 00000 00 0000 000</t>
  </si>
  <si>
    <t>1 08 03000 01 0000 110</t>
  </si>
  <si>
    <t>1 06 00000 00 0000 000</t>
  </si>
  <si>
    <t>НАЛОГИ НА ИМУЩЕСТВО</t>
  </si>
  <si>
    <t>Налог на имущество физических лиц</t>
  </si>
  <si>
    <t>1 05 04000 02 0000 110</t>
  </si>
  <si>
    <t>1 05 01000 01 0000 110</t>
  </si>
  <si>
    <t>Земельный налог с организаций</t>
  </si>
  <si>
    <t>Земельный налог с физических лиц</t>
  </si>
  <si>
    <t>1 06 06032 14 0000 110</t>
  </si>
  <si>
    <t>1 06 06042 14 0000 110</t>
  </si>
  <si>
    <t>1 06 01020 14 0000 110</t>
  </si>
  <si>
    <t>1 11 00000 00 0000 000</t>
  </si>
  <si>
    <t>1 11 05020 00 0000 120</t>
  </si>
  <si>
    <t>1 11 05010 00 0000 120</t>
  </si>
  <si>
    <t>1 11 05070 00 0000 120</t>
  </si>
  <si>
    <t>1 11 05310 00 0000 120</t>
  </si>
  <si>
    <t>1 12 00000 00 0000 000</t>
  </si>
  <si>
    <t>1 12 01000 01 0000 120</t>
  </si>
  <si>
    <t>1 11 09040 00 0000 120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</si>
  <si>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</si>
  <si>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1 11 05030 00 0000 120</t>
  </si>
  <si>
    <t>Прочие доходы от оказания платных услуг (работ) получателями средств бюджетов муниципальных округов</t>
  </si>
  <si>
    <t>1 13 00000 00 0000 000</t>
  </si>
  <si>
    <t>1 14 00000 00 0000 000</t>
  </si>
  <si>
    <t>1 16 00000 00 0000 000</t>
  </si>
  <si>
    <t>1 17 00000 00 0000 000</t>
  </si>
  <si>
    <t>2 00 00000 00 0000 000</t>
  </si>
  <si>
    <t>2 02 00000 00 0000 000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</si>
  <si>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</si>
  <si>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</si>
  <si>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2 02 15009 14 0000 150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</si>
  <si>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</si>
  <si>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</si>
  <si>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2 02 10000 00 0000 150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</si>
  <si>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</si>
  <si>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</t>
  </si>
  <si>
    <t>2 02 25555 14 0000 150</t>
  </si>
  <si>
    <t>2 02 29999 14 0000 150</t>
  </si>
  <si>
    <t>2 02 25304 14 0000 150</t>
  </si>
  <si>
    <t>2 02 25169 14 0000 150</t>
  </si>
  <si>
    <t>2 02 25098 14 0000 150</t>
  </si>
  <si>
    <t>2 02 25491 14 0000 150</t>
  </si>
  <si>
    <t>2 02 25210 14 0000 150</t>
  </si>
  <si>
    <t>2 02 25519 14 0000 150</t>
  </si>
  <si>
    <t>2 02 25497 14 0000 150</t>
  </si>
  <si>
    <t>2 02 25243 14 0000 150</t>
  </si>
  <si>
    <t>2 02 25511 14 0000 150</t>
  </si>
  <si>
    <t>2 02 25372 14 0000 150</t>
  </si>
  <si>
    <t>2 02 25576 14 0000 150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</si>
  <si>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</si>
  <si>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</si>
  <si>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</si>
  <si>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проведение комплексных кадастровых работ</t>
  </si>
  <si>
    <t>Субсидии бюджетам муниципальных округов на развитие транспортной инфраструктуры на сельских территориях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</si>
  <si>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</si>
  <si>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</si>
  <si>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поддержку отрасли культуры</t>
  </si>
  <si>
    <t>Субсидии бюджетам муниципальных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</si>
  <si>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</si>
  <si>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</si>
  <si>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</si>
  <si>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</si>
  <si>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БЮДЖЕТНОЙ СИСТЕМЫ РОССИЙСКОЙ ФЕДЕРАЦИИ</t>
  </si>
  <si>
    <t xml:space="preserve">Субвенции бюджетам муниципальных округов на выполнение передаваемых полномочий субъектов Российской Федерации </t>
  </si>
  <si>
    <t>2 02 30024 14 0000 150</t>
  </si>
  <si>
    <t>2 02 35120 14 0000 150</t>
  </si>
  <si>
    <t>2 02 36900 14 0000 150</t>
  </si>
  <si>
    <t xml:space="preserve">Единая субвенция бюджетам муниципальных округов из бюджета субъекта Российской Федерации 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</si>
  <si>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</si>
  <si>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</si>
  <si>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</si>
  <si>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ИНЫЕ МЕЖБЮДЖЕТНЫЕ ТРАНСФЕРТЫ</t>
  </si>
  <si>
    <t>Прочие межбюджетные трансферты, передаваемые бюджетам муниципальных округов</t>
  </si>
  <si>
    <t>2 07 00000 00 0000 000</t>
  </si>
  <si>
    <t>ПРОЧИЕ БЕЗВОЗМЕЗДНЫЕ ПОСТУПЛЕНИЯ</t>
  </si>
  <si>
    <t>2 07 04020 14 0000 150</t>
  </si>
  <si>
    <t>2 02 49999 14 0000 150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</si>
  <si>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</si>
  <si>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2 02 35179 14 0000 150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</si>
  <si>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</si>
  <si>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1 13 01994 14 0000 130</t>
  </si>
  <si>
    <t>1 14 06010 00 0000 430</t>
  </si>
  <si>
    <t>1 14 06020 00 0000 430</t>
  </si>
  <si>
    <t xml:space="preserve">к решению Представительного Собрания Вологодского  муниципального округа от 20.12.2022 №  126  "О бюджете  округа на 2023 год и плановый период 2024 и 2025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</si>
</sst>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8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8"/>
      <name val="Arial Cyr"/>
      <family val="2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.5"/>
      <color rgb="FF0070C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5" fillId="0" borderId="0"/>
    <xf numFmtId="0" fontId="6" fillId="0" borderId="0"/>
    <xf numFmtId="0" fontId="6" fillId="0" borderId="0"/>
  </cellStyleXfs>
  <cellXfs count="57">
    <xf numFmtId="0" fontId="0" fillId="0" borderId="0" xfId="0"/>
    <xf numFmtId="0" fontId="6" fillId="0" borderId="0" xfId="3"/>
    <xf numFmtId="0" fontId="7" fillId="0" borderId="0" xfId="3" applyFont="1" applyFill="1" applyAlignment="1"/>
    <xf numFmtId="0" fontId="6" fillId="0" borderId="0" xfId="3" applyFill="1"/>
    <xf numFmtId="0" fontId="4" fillId="0" borderId="0" xfId="0" applyFont="1" applyFill="1"/>
    <xf numFmtId="49" fontId="15" fillId="0" borderId="0" xfId="3" applyNumberFormat="1" applyFont="1" applyFill="1" applyBorder="1" applyAlignment="1">
      <alignment horizontal="center" vertical="center"/>
    </xf>
    <xf numFmtId="164" fontId="16" fillId="0" borderId="0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3" applyFont="1" applyFill="1" applyAlignment="1">
      <alignment horizontal="left"/>
    </xf>
    <xf numFmtId="0" fontId="15" fillId="0" borderId="0" xfId="3" applyFont="1" applyFill="1" applyBorder="1" applyAlignment="1">
      <alignment horizontal="left" vertical="center" wrapText="1"/>
    </xf>
    <xf numFmtId="0" fontId="6" fillId="0" borderId="0" xfId="3" applyFill="1" applyAlignment="1">
      <alignment horizontal="left" vertical="justify"/>
    </xf>
    <xf numFmtId="0" fontId="6" fillId="0" borderId="0" xfId="3" applyFill="1" applyAlignment="1">
      <alignment horizontal="left"/>
    </xf>
    <xf numFmtId="0" fontId="2" fillId="0" borderId="1" xfId="3" applyFont="1" applyFill="1" applyBorder="1" applyAlignment="1">
      <alignment horizontal="center" vertical="center" wrapText="1"/>
    </xf>
    <xf numFmtId="165" fontId="6" fillId="0" borderId="0" xfId="3" applyNumberFormat="1"/>
    <xf numFmtId="164" fontId="6" fillId="0" borderId="0" xfId="3" applyNumberFormat="1" applyFill="1"/>
    <xf numFmtId="0" fontId="17" fillId="0" borderId="0" xfId="0" applyFont="1"/>
    <xf numFmtId="0" fontId="2" fillId="0" borderId="1" xfId="3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 applyProtection="1">
      <alignment vertical="top" wrapText="1"/>
    </xf>
    <xf numFmtId="0" fontId="10" fillId="0" borderId="3" xfId="0" applyNumberFormat="1" applyFont="1" applyFill="1" applyBorder="1" applyAlignment="1" applyProtection="1">
      <alignment horizontal="center" vertical="top" wrapText="1"/>
    </xf>
    <xf numFmtId="49" fontId="2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 applyProtection="1">
      <alignment horizontal="center" vertical="top" wrapText="1"/>
    </xf>
    <xf numFmtId="49" fontId="4" fillId="0" borderId="1" xfId="3" applyNumberFormat="1" applyFont="1" applyFill="1" applyBorder="1" applyAlignment="1">
      <alignment horizontal="center"/>
    </xf>
    <xf numFmtId="49" fontId="2" fillId="0" borderId="1" xfId="3" applyNumberFormat="1" applyFont="1" applyFill="1" applyBorder="1" applyAlignment="1">
      <alignment horizontal="center"/>
    </xf>
    <xf numFmtId="49" fontId="2" fillId="0" borderId="1" xfId="2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1" xfId="3" applyFont="1" applyFill="1" applyBorder="1" applyAlignment="1">
      <alignment horizontal="left" wrapText="1"/>
    </xf>
    <xf numFmtId="0" fontId="8" fillId="0" borderId="1" xfId="3" applyFont="1" applyFill="1" applyBorder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2" fillId="0" borderId="1" xfId="3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164" fontId="4" fillId="0" borderId="1" xfId="3" applyNumberFormat="1" applyFont="1" applyFill="1" applyBorder="1" applyAlignment="1">
      <alignment horizontal="center"/>
    </xf>
    <xf numFmtId="164" fontId="2" fillId="0" borderId="1" xfId="3" applyNumberFormat="1" applyFont="1" applyFill="1" applyBorder="1" applyAlignment="1">
      <alignment horizontal="center"/>
    </xf>
    <xf numFmtId="0" fontId="10" fillId="0" borderId="5" xfId="0" applyNumberFormat="1" applyFont="1" applyFill="1" applyBorder="1" applyAlignment="1" applyProtection="1">
      <alignment horizontal="left" wrapText="1"/>
    </xf>
    <xf numFmtId="0" fontId="12" fillId="0" borderId="5" xfId="0" applyNumberFormat="1" applyFont="1" applyFill="1" applyBorder="1" applyAlignment="1" applyProtection="1">
      <alignment horizontal="left" wrapText="1"/>
    </xf>
    <xf numFmtId="0" fontId="4" fillId="0" borderId="1" xfId="3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64" fontId="14" fillId="0" borderId="1" xfId="3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 applyProtection="1">
      <alignment horizontal="center"/>
    </xf>
    <xf numFmtId="0" fontId="13" fillId="0" borderId="1" xfId="0" applyNumberFormat="1" applyFont="1" applyFill="1" applyBorder="1" applyAlignment="1" applyProtection="1">
      <alignment horizontal="left" wrapText="1"/>
    </xf>
    <xf numFmtId="0" fontId="10" fillId="0" borderId="1" xfId="0" applyNumberFormat="1" applyFont="1" applyFill="1" applyBorder="1" applyAlignment="1" applyProtection="1">
      <alignment horizontal="left" wrapText="1"/>
    </xf>
    <xf numFmtId="164" fontId="4" fillId="0" borderId="1" xfId="3" applyNumberFormat="1" applyFont="1" applyFill="1" applyBorder="1" applyAlignment="1" applyProtection="1">
      <alignment horizontal="center"/>
    </xf>
    <xf numFmtId="0" fontId="3" fillId="0" borderId="0" xfId="3" applyFont="1" applyFill="1" applyBorder="1" applyAlignment="1">
      <alignment horizontal="center" wrapText="1"/>
    </xf>
    <xf numFmtId="0" fontId="0" fillId="0" borderId="0" xfId="0" applyBorder="1" applyAlignment="1"/>
    <xf numFmtId="0" fontId="4" fillId="0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2" fillId="0" borderId="1" xfId="3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 applyProtection="1">
      <alignment horizontal="right" wrapText="1"/>
    </xf>
  </cellXfs>
  <cellStyles count="4">
    <cellStyle name="Обычный" xfId="0" builtinId="0"/>
    <cellStyle name="Обычный 2" xfId="1"/>
    <cellStyle name="Обычный_Лист1" xfId="2"/>
    <cellStyle name="Обычный_Приложение 1 поступление доходов анализ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tabSelected="1" view="pageBreakPreview" zoomScale="90" zoomScaleNormal="90" zoomScaleSheetLayoutView="90" workbookViewId="0">
      <selection activeCell="C2" sqref="C2:E2"/>
    </sheetView>
  </sheetViews>
  <sheetFormatPr defaultColWidth="10.28515625" defaultRowHeight="14.25" x14ac:dyDescent="0.2"/>
  <cols>
    <col min="1" max="1" width="26.28515625" style="3" customWidth="1"/>
    <col min="2" max="2" width="54.85546875" style="12" customWidth="1"/>
    <col min="3" max="5" width="16.7109375" style="3" customWidth="1"/>
    <col min="6" max="6" width="4" style="1" customWidth="1"/>
    <col min="7" max="7" width="26.5703125" style="1" customWidth="1"/>
    <col min="8" max="16384" width="10.28515625" style="1"/>
  </cols>
  <sheetData>
    <row r="1" spans="1:9" ht="18.600000000000001" customHeight="1" x14ac:dyDescent="0.2">
      <c r="A1" s="2"/>
      <c r="B1" s="7"/>
      <c r="C1" s="49" t="s">
        <v>34</v>
      </c>
      <c r="D1" s="50"/>
      <c r="E1" s="50"/>
    </row>
    <row r="2" spans="1:9" ht="78" customHeight="1" x14ac:dyDescent="0.2">
      <c r="A2" s="2"/>
      <c r="B2" s="8"/>
      <c r="C2" s="51" t="s">
        <v>132</v>
      </c>
      <c r="D2" s="50"/>
      <c r="E2" s="50"/>
    </row>
    <row r="3" spans="1:9" ht="13.5" customHeight="1" x14ac:dyDescent="0.25">
      <c r="B3" s="9"/>
      <c r="C3" s="4"/>
    </row>
    <row r="4" spans="1:9" ht="49.15" customHeight="1" x14ac:dyDescent="0.25">
      <c r="A4" s="47" t="s">
        <v>41</v>
      </c>
      <c r="B4" s="47"/>
      <c r="C4" s="47"/>
      <c r="D4" s="48"/>
      <c r="E4" s="48"/>
      <c r="G4" s="18"/>
      <c r="H4" s="18"/>
      <c r="I4" s="18"/>
    </row>
    <row r="5" spans="1:9" ht="18" customHeight="1" x14ac:dyDescent="0.25">
      <c r="A5" s="56" t="s">
        <v>26</v>
      </c>
      <c r="B5" s="56"/>
      <c r="C5" s="56"/>
      <c r="D5" s="56"/>
      <c r="E5" s="56"/>
      <c r="G5" s="18"/>
      <c r="H5" s="18"/>
      <c r="I5" s="18"/>
    </row>
    <row r="6" spans="1:9" ht="17.25" customHeight="1" x14ac:dyDescent="0.25">
      <c r="A6" s="54" t="s">
        <v>24</v>
      </c>
      <c r="B6" s="55" t="s">
        <v>25</v>
      </c>
      <c r="C6" s="52" t="s">
        <v>40</v>
      </c>
      <c r="D6" s="53"/>
      <c r="E6" s="53"/>
      <c r="G6" s="18"/>
      <c r="H6" s="18"/>
      <c r="I6" s="18"/>
    </row>
    <row r="7" spans="1:9" ht="30" customHeight="1" x14ac:dyDescent="0.2">
      <c r="A7" s="52"/>
      <c r="B7" s="55"/>
      <c r="C7" s="22" t="s">
        <v>37</v>
      </c>
      <c r="D7" s="19" t="s">
        <v>38</v>
      </c>
      <c r="E7" s="19" t="s">
        <v>39</v>
      </c>
    </row>
    <row r="8" spans="1:9" ht="15" customHeight="1" x14ac:dyDescent="0.2">
      <c r="A8" s="13">
        <v>1</v>
      </c>
      <c r="B8" s="17">
        <v>2</v>
      </c>
      <c r="C8" s="13">
        <v>3</v>
      </c>
      <c r="D8" s="13">
        <v>4</v>
      </c>
      <c r="E8" s="17">
        <v>5</v>
      </c>
    </row>
    <row r="9" spans="1:9" ht="23.1" customHeight="1" x14ac:dyDescent="0.25">
      <c r="A9" s="23" t="s">
        <v>0</v>
      </c>
      <c r="B9" s="26" t="s">
        <v>1</v>
      </c>
      <c r="C9" s="32">
        <f>C10+C12+C14+C22+C24+C31+C33+C35+C40+C41+C18</f>
        <v>831422.4</v>
      </c>
      <c r="D9" s="32">
        <f>D10+D12+D14+D22+D24+D31+D33+D35+D40+D41+D18</f>
        <v>833342.9</v>
      </c>
      <c r="E9" s="32">
        <f>E10+E12+E14+E22+E24+E31+E33+E35+E40+E41+E18</f>
        <v>826167.2</v>
      </c>
      <c r="F9" s="14"/>
    </row>
    <row r="10" spans="1:9" ht="23.1" customHeight="1" x14ac:dyDescent="0.25">
      <c r="A10" s="23" t="s">
        <v>43</v>
      </c>
      <c r="B10" s="27" t="s">
        <v>2</v>
      </c>
      <c r="C10" s="32">
        <f>SUM(C11:C11)</f>
        <v>533306</v>
      </c>
      <c r="D10" s="32">
        <f>SUM(D11:D11)</f>
        <v>560518</v>
      </c>
      <c r="E10" s="32">
        <f>SUM(E11:E11)</f>
        <v>539620</v>
      </c>
    </row>
    <row r="11" spans="1:9" ht="23.1" customHeight="1" x14ac:dyDescent="0.25">
      <c r="A11" s="24" t="s">
        <v>44</v>
      </c>
      <c r="B11" s="28" t="s">
        <v>3</v>
      </c>
      <c r="C11" s="33">
        <f>526923+5280+1103</f>
        <v>533306</v>
      </c>
      <c r="D11" s="33">
        <f>553791+5546+1181</f>
        <v>560518</v>
      </c>
      <c r="E11" s="33">
        <f>532423+5942+1255</f>
        <v>539620</v>
      </c>
    </row>
    <row r="12" spans="1:9" ht="50.1" customHeight="1" x14ac:dyDescent="0.25">
      <c r="A12" s="23" t="s">
        <v>45</v>
      </c>
      <c r="B12" s="27" t="s">
        <v>27</v>
      </c>
      <c r="C12" s="32">
        <f>SUM(C13)</f>
        <v>52132</v>
      </c>
      <c r="D12" s="32">
        <f>D13</f>
        <v>52132</v>
      </c>
      <c r="E12" s="32">
        <f>E13</f>
        <v>52132</v>
      </c>
    </row>
    <row r="13" spans="1:9" ht="51.6" customHeight="1" x14ac:dyDescent="0.25">
      <c r="A13" s="24" t="s">
        <v>46</v>
      </c>
      <c r="B13" s="28" t="s">
        <v>28</v>
      </c>
      <c r="C13" s="33">
        <v>52132</v>
      </c>
      <c r="D13" s="33">
        <v>52132</v>
      </c>
      <c r="E13" s="33">
        <v>52132</v>
      </c>
    </row>
    <row r="14" spans="1:9" ht="23.1" customHeight="1" x14ac:dyDescent="0.25">
      <c r="A14" s="23" t="s">
        <v>47</v>
      </c>
      <c r="B14" s="27" t="s">
        <v>4</v>
      </c>
      <c r="C14" s="32">
        <f>SUM(C15:C17)</f>
        <v>122968.7</v>
      </c>
      <c r="D14" s="32">
        <f>SUM(D15:D17)</f>
        <v>118882</v>
      </c>
      <c r="E14" s="32">
        <f>SUM(E15:E17)</f>
        <v>127601.2</v>
      </c>
    </row>
    <row r="15" spans="1:9" ht="35.1" customHeight="1" x14ac:dyDescent="0.25">
      <c r="A15" s="24" t="s">
        <v>54</v>
      </c>
      <c r="B15" s="28" t="s">
        <v>29</v>
      </c>
      <c r="C15" s="33">
        <f>62120+40279+1600+10000+319.7</f>
        <v>114318.7</v>
      </c>
      <c r="D15" s="33">
        <f>66797+43145</f>
        <v>109942</v>
      </c>
      <c r="E15" s="33">
        <f>74462+43145+1352.4+89.6+1523.7+134.2-2205.7</f>
        <v>118501.2</v>
      </c>
    </row>
    <row r="16" spans="1:9" ht="23.1" customHeight="1" x14ac:dyDescent="0.25">
      <c r="A16" s="24" t="s">
        <v>42</v>
      </c>
      <c r="B16" s="28" t="s">
        <v>5</v>
      </c>
      <c r="C16" s="33">
        <v>5040</v>
      </c>
      <c r="D16" s="33">
        <v>5240</v>
      </c>
      <c r="E16" s="33">
        <v>5400</v>
      </c>
    </row>
    <row r="17" spans="1:5" ht="35.1" customHeight="1" x14ac:dyDescent="0.25">
      <c r="A17" s="24" t="s">
        <v>53</v>
      </c>
      <c r="B17" s="28" t="s">
        <v>30</v>
      </c>
      <c r="C17" s="33">
        <v>3610</v>
      </c>
      <c r="D17" s="33">
        <v>3700</v>
      </c>
      <c r="E17" s="33">
        <v>3700</v>
      </c>
    </row>
    <row r="18" spans="1:5" ht="23.1" customHeight="1" x14ac:dyDescent="0.25">
      <c r="A18" s="23" t="s">
        <v>50</v>
      </c>
      <c r="B18" s="34" t="s">
        <v>51</v>
      </c>
      <c r="C18" s="32">
        <f>SUM(C19:C21)</f>
        <v>56358</v>
      </c>
      <c r="D18" s="32">
        <f>SUM(D19:D21)</f>
        <v>56903</v>
      </c>
      <c r="E18" s="32">
        <f>SUM(E19:E21)</f>
        <v>57340</v>
      </c>
    </row>
    <row r="19" spans="1:5" ht="23.1" customHeight="1" x14ac:dyDescent="0.25">
      <c r="A19" s="24" t="s">
        <v>59</v>
      </c>
      <c r="B19" s="35" t="s">
        <v>52</v>
      </c>
      <c r="C19" s="33">
        <v>20246</v>
      </c>
      <c r="D19" s="33">
        <v>20791</v>
      </c>
      <c r="E19" s="33">
        <v>21228</v>
      </c>
    </row>
    <row r="20" spans="1:5" ht="23.1" customHeight="1" x14ac:dyDescent="0.25">
      <c r="A20" s="24" t="s">
        <v>57</v>
      </c>
      <c r="B20" s="28" t="s">
        <v>55</v>
      </c>
      <c r="C20" s="33">
        <v>11866</v>
      </c>
      <c r="D20" s="33">
        <v>11866</v>
      </c>
      <c r="E20" s="33">
        <v>11866</v>
      </c>
    </row>
    <row r="21" spans="1:5" ht="23.1" customHeight="1" x14ac:dyDescent="0.25">
      <c r="A21" s="24" t="s">
        <v>58</v>
      </c>
      <c r="B21" s="28" t="s">
        <v>56</v>
      </c>
      <c r="C21" s="33">
        <v>24246</v>
      </c>
      <c r="D21" s="33">
        <v>24246</v>
      </c>
      <c r="E21" s="33">
        <v>24246</v>
      </c>
    </row>
    <row r="22" spans="1:5" ht="23.1" customHeight="1" x14ac:dyDescent="0.25">
      <c r="A22" s="23" t="s">
        <v>48</v>
      </c>
      <c r="B22" s="27" t="s">
        <v>17</v>
      </c>
      <c r="C22" s="32">
        <f>SUM(C23)</f>
        <v>1321</v>
      </c>
      <c r="D22" s="32">
        <f>D23</f>
        <v>1321</v>
      </c>
      <c r="E22" s="32">
        <f>E23</f>
        <v>1321</v>
      </c>
    </row>
    <row r="23" spans="1:5" ht="23.1" customHeight="1" x14ac:dyDescent="0.25">
      <c r="A23" s="24" t="s">
        <v>49</v>
      </c>
      <c r="B23" s="28" t="s">
        <v>21</v>
      </c>
      <c r="C23" s="33">
        <v>1321</v>
      </c>
      <c r="D23" s="33">
        <v>1321</v>
      </c>
      <c r="E23" s="33">
        <v>1321</v>
      </c>
    </row>
    <row r="24" spans="1:5" ht="50.1" customHeight="1" x14ac:dyDescent="0.25">
      <c r="A24" s="23" t="s">
        <v>60</v>
      </c>
      <c r="B24" s="27" t="s">
        <v>6</v>
      </c>
      <c r="C24" s="32">
        <f>C25+C26+C28+C29+C30+C27</f>
        <v>27981</v>
      </c>
      <c r="D24" s="32">
        <f>D25+D26+D28+D29+D30+D27</f>
        <v>27988</v>
      </c>
      <c r="E24" s="32">
        <f>E25+E26+E28+E29+E30+E27</f>
        <v>27988</v>
      </c>
    </row>
    <row r="25" spans="1:5" ht="79.5" customHeight="1" x14ac:dyDescent="0.25">
      <c r="A25" s="25" t="s">
        <v>62</v>
      </c>
      <c r="B25" s="29" t="s">
        <v>31</v>
      </c>
      <c r="C25" s="33">
        <v>14508</v>
      </c>
      <c r="D25" s="33">
        <v>14508</v>
      </c>
      <c r="E25" s="33">
        <v>14508</v>
      </c>
    </row>
    <row r="26" spans="1:5" ht="96.75" customHeight="1" x14ac:dyDescent="0.25">
      <c r="A26" s="24" t="s">
        <v>61</v>
      </c>
      <c r="B26" s="28" t="s">
        <v>32</v>
      </c>
      <c r="C26" s="33">
        <v>268</v>
      </c>
      <c r="D26" s="33">
        <v>268</v>
      </c>
      <c r="E26" s="33">
        <v>268</v>
      </c>
    </row>
    <row r="27" spans="1:5" ht="82.15" customHeight="1" x14ac:dyDescent="0.25">
      <c r="A27" s="24" t="s">
        <v>69</v>
      </c>
      <c r="B27" s="28" t="s">
        <v>68</v>
      </c>
      <c r="C27" s="33">
        <v>865</v>
      </c>
      <c r="D27" s="33">
        <v>865</v>
      </c>
      <c r="E27" s="33">
        <v>865</v>
      </c>
    </row>
    <row r="28" spans="1:5" ht="50.1" customHeight="1" x14ac:dyDescent="0.25">
      <c r="A28" s="24" t="s">
        <v>63</v>
      </c>
      <c r="B28" s="21" t="s">
        <v>18</v>
      </c>
      <c r="C28" s="33">
        <v>12302</v>
      </c>
      <c r="D28" s="33">
        <v>12302</v>
      </c>
      <c r="E28" s="33">
        <v>12302</v>
      </c>
    </row>
    <row r="29" spans="1:5" ht="50.1" customHeight="1" x14ac:dyDescent="0.25">
      <c r="A29" s="24" t="s">
        <v>64</v>
      </c>
      <c r="B29" s="21" t="s">
        <v>23</v>
      </c>
      <c r="C29" s="33">
        <v>26</v>
      </c>
      <c r="D29" s="33">
        <v>33</v>
      </c>
      <c r="E29" s="33">
        <v>33</v>
      </c>
    </row>
    <row r="30" spans="1:5" ht="98.25" customHeight="1" x14ac:dyDescent="0.25">
      <c r="A30" s="24" t="s">
        <v>67</v>
      </c>
      <c r="B30" s="28" t="s">
        <v>33</v>
      </c>
      <c r="C30" s="33">
        <v>12</v>
      </c>
      <c r="D30" s="33">
        <v>12</v>
      </c>
      <c r="E30" s="33">
        <v>12</v>
      </c>
    </row>
    <row r="31" spans="1:5" ht="35.1" customHeight="1" x14ac:dyDescent="0.25">
      <c r="A31" s="23" t="s">
        <v>65</v>
      </c>
      <c r="B31" s="27" t="s">
        <v>7</v>
      </c>
      <c r="C31" s="32">
        <f>SUM(C32)</f>
        <v>4775</v>
      </c>
      <c r="D31" s="32">
        <f>D32</f>
        <v>5683</v>
      </c>
      <c r="E31" s="32">
        <f>E32</f>
        <v>6762</v>
      </c>
    </row>
    <row r="32" spans="1:5" ht="35.1" customHeight="1" x14ac:dyDescent="0.25">
      <c r="A32" s="24" t="s">
        <v>66</v>
      </c>
      <c r="B32" s="28" t="s">
        <v>8</v>
      </c>
      <c r="C32" s="33">
        <v>4775</v>
      </c>
      <c r="D32" s="33">
        <v>5683</v>
      </c>
      <c r="E32" s="33">
        <v>6762</v>
      </c>
    </row>
    <row r="33" spans="1:5" ht="35.1" customHeight="1" x14ac:dyDescent="0.25">
      <c r="A33" s="23" t="s">
        <v>71</v>
      </c>
      <c r="B33" s="27" t="s">
        <v>19</v>
      </c>
      <c r="C33" s="32">
        <f>SUM(C34)</f>
        <v>108</v>
      </c>
      <c r="D33" s="32">
        <f>D34</f>
        <v>530</v>
      </c>
      <c r="E33" s="32">
        <f>E34</f>
        <v>530</v>
      </c>
    </row>
    <row r="34" spans="1:5" ht="50.1" customHeight="1" x14ac:dyDescent="0.25">
      <c r="A34" s="24" t="s">
        <v>129</v>
      </c>
      <c r="B34" s="28" t="s">
        <v>70</v>
      </c>
      <c r="C34" s="33">
        <v>108</v>
      </c>
      <c r="D34" s="33">
        <v>530</v>
      </c>
      <c r="E34" s="33">
        <v>530</v>
      </c>
    </row>
    <row r="35" spans="1:5" ht="35.1" customHeight="1" x14ac:dyDescent="0.25">
      <c r="A35" s="23" t="s">
        <v>72</v>
      </c>
      <c r="B35" s="27" t="s">
        <v>9</v>
      </c>
      <c r="C35" s="32">
        <f>C36+C37+C39+C38</f>
        <v>30972.7</v>
      </c>
      <c r="D35" s="32">
        <f>D36+D37+D39+D38</f>
        <v>6849</v>
      </c>
      <c r="E35" s="32">
        <f>E36+E37+E39+E38</f>
        <v>10336</v>
      </c>
    </row>
    <row r="36" spans="1:5" ht="95.25" customHeight="1" x14ac:dyDescent="0.25">
      <c r="A36" s="24" t="s">
        <v>36</v>
      </c>
      <c r="B36" s="28" t="s">
        <v>35</v>
      </c>
      <c r="C36" s="33">
        <v>124</v>
      </c>
      <c r="D36" s="33">
        <v>124</v>
      </c>
      <c r="E36" s="33">
        <v>124</v>
      </c>
    </row>
    <row r="37" spans="1:5" ht="50.1" customHeight="1" x14ac:dyDescent="0.25">
      <c r="A37" s="24" t="s">
        <v>130</v>
      </c>
      <c r="B37" s="28" t="s">
        <v>77</v>
      </c>
      <c r="C37" s="33">
        <f>5804+24123.7</f>
        <v>29927.7</v>
      </c>
      <c r="D37" s="33">
        <f>5804</f>
        <v>5804</v>
      </c>
      <c r="E37" s="33">
        <f>5804+3487</f>
        <v>9291</v>
      </c>
    </row>
    <row r="38" spans="1:5" ht="70.5" customHeight="1" x14ac:dyDescent="0.25">
      <c r="A38" s="24" t="s">
        <v>131</v>
      </c>
      <c r="B38" s="28" t="s">
        <v>78</v>
      </c>
      <c r="C38" s="33">
        <v>394</v>
      </c>
      <c r="D38" s="33">
        <v>394</v>
      </c>
      <c r="E38" s="33">
        <v>394</v>
      </c>
    </row>
    <row r="39" spans="1:5" ht="78.599999999999994" customHeight="1" x14ac:dyDescent="0.25">
      <c r="A39" s="24" t="s">
        <v>22</v>
      </c>
      <c r="B39" s="21" t="s">
        <v>20</v>
      </c>
      <c r="C39" s="33">
        <v>527</v>
      </c>
      <c r="D39" s="33">
        <v>527</v>
      </c>
      <c r="E39" s="33">
        <v>527</v>
      </c>
    </row>
    <row r="40" spans="1:5" ht="23.1" customHeight="1" x14ac:dyDescent="0.25">
      <c r="A40" s="36" t="s">
        <v>73</v>
      </c>
      <c r="B40" s="27" t="s">
        <v>10</v>
      </c>
      <c r="C40" s="32">
        <v>1500</v>
      </c>
      <c r="D40" s="32">
        <v>2536.9</v>
      </c>
      <c r="E40" s="32">
        <v>2537</v>
      </c>
    </row>
    <row r="41" spans="1:5" ht="23.1" hidden="1" customHeight="1" x14ac:dyDescent="0.25">
      <c r="A41" s="36" t="s">
        <v>74</v>
      </c>
      <c r="B41" s="27" t="s">
        <v>11</v>
      </c>
      <c r="C41" s="32">
        <v>0</v>
      </c>
      <c r="D41" s="32">
        <v>0</v>
      </c>
      <c r="E41" s="32">
        <v>0</v>
      </c>
    </row>
    <row r="42" spans="1:5" ht="23.1" customHeight="1" x14ac:dyDescent="0.25">
      <c r="A42" s="36" t="s">
        <v>75</v>
      </c>
      <c r="B42" s="27" t="s">
        <v>12</v>
      </c>
      <c r="C42" s="32">
        <f>SUM(C43+C68)</f>
        <v>2057938</v>
      </c>
      <c r="D42" s="32">
        <f t="shared" ref="D42:E42" si="0">SUM(D43+D68)</f>
        <v>1337698.6000000001</v>
      </c>
      <c r="E42" s="32">
        <f t="shared" si="0"/>
        <v>1298239.2</v>
      </c>
    </row>
    <row r="43" spans="1:5" ht="48" customHeight="1" x14ac:dyDescent="0.25">
      <c r="A43" s="36" t="s">
        <v>76</v>
      </c>
      <c r="B43" s="44" t="s">
        <v>80</v>
      </c>
      <c r="C43" s="32">
        <f>C44+C46+C60+C66</f>
        <v>2057719.2</v>
      </c>
      <c r="D43" s="32">
        <f>D45+D46+D60+D66</f>
        <v>1337698.6000000001</v>
      </c>
      <c r="E43" s="32">
        <f>E45+E46+E60+E66</f>
        <v>1298239.2</v>
      </c>
    </row>
    <row r="44" spans="1:5" ht="35.1" customHeight="1" x14ac:dyDescent="0.25">
      <c r="A44" s="36" t="s">
        <v>82</v>
      </c>
      <c r="B44" s="45" t="s">
        <v>81</v>
      </c>
      <c r="C44" s="32">
        <f>C45</f>
        <v>222059.8</v>
      </c>
      <c r="D44" s="32">
        <f>D45</f>
        <v>229137.4</v>
      </c>
      <c r="E44" s="32">
        <f>E45</f>
        <v>236416.2</v>
      </c>
    </row>
    <row r="45" spans="1:5" ht="63" customHeight="1" x14ac:dyDescent="0.25">
      <c r="A45" s="37" t="s">
        <v>79</v>
      </c>
      <c r="B45" s="31" t="s">
        <v>83</v>
      </c>
      <c r="C45" s="33">
        <f>222059.8</f>
        <v>222059.8</v>
      </c>
      <c r="D45" s="33">
        <f>229137.4</f>
        <v>229137.4</v>
      </c>
      <c r="E45" s="33">
        <f>236416.2</f>
        <v>236416.2</v>
      </c>
    </row>
    <row r="46" spans="1:5" ht="36.75" customHeight="1" x14ac:dyDescent="0.25">
      <c r="A46" s="38" t="s">
        <v>14</v>
      </c>
      <c r="B46" s="31" t="s">
        <v>84</v>
      </c>
      <c r="C46" s="41">
        <f>SUM(C47:C59)</f>
        <v>965463.9</v>
      </c>
      <c r="D46" s="41">
        <f>SUM(D47:D59)</f>
        <v>198953</v>
      </c>
      <c r="E46" s="41">
        <f>SUM(E47:E59)</f>
        <v>110964.4</v>
      </c>
    </row>
    <row r="47" spans="1:5" ht="93.75" customHeight="1" x14ac:dyDescent="0.25">
      <c r="A47" s="39" t="s">
        <v>89</v>
      </c>
      <c r="B47" s="31" t="s">
        <v>108</v>
      </c>
      <c r="C47" s="42">
        <f>2187.5</f>
        <v>2187.5</v>
      </c>
      <c r="D47" s="42">
        <f>2708.33334</f>
        <v>2708.3</v>
      </c>
      <c r="E47" s="42">
        <f>0</f>
        <v>0</v>
      </c>
    </row>
    <row r="48" spans="1:5" ht="79.5" customHeight="1" x14ac:dyDescent="0.25">
      <c r="A48" s="39" t="s">
        <v>88</v>
      </c>
      <c r="B48" s="31" t="s">
        <v>109</v>
      </c>
      <c r="C48" s="42">
        <f>13170.76036</f>
        <v>13170.8</v>
      </c>
      <c r="D48" s="42">
        <f>0</f>
        <v>0</v>
      </c>
      <c r="E48" s="42">
        <f>0</f>
        <v>0</v>
      </c>
    </row>
    <row r="49" spans="1:5" ht="66" customHeight="1" x14ac:dyDescent="0.25">
      <c r="A49" s="39" t="s">
        <v>91</v>
      </c>
      <c r="B49" s="31" t="s">
        <v>106</v>
      </c>
      <c r="C49" s="42">
        <f>25574.97999</f>
        <v>25575</v>
      </c>
      <c r="D49" s="42">
        <f>10434.23178</f>
        <v>10434.200000000001</v>
      </c>
      <c r="E49" s="42">
        <f>0</f>
        <v>0</v>
      </c>
    </row>
    <row r="50" spans="1:5" ht="50.1" customHeight="1" x14ac:dyDescent="0.25">
      <c r="A50" s="39" t="s">
        <v>94</v>
      </c>
      <c r="B50" s="31" t="s">
        <v>103</v>
      </c>
      <c r="C50" s="42">
        <f>7520.7+303420.7</f>
        <v>310941.40000000002</v>
      </c>
      <c r="D50" s="42">
        <f>7532+85664.4</f>
        <v>93196.4</v>
      </c>
      <c r="E50" s="42">
        <f>0</f>
        <v>0</v>
      </c>
    </row>
    <row r="51" spans="1:5" ht="79.5" customHeight="1" x14ac:dyDescent="0.25">
      <c r="A51" s="39" t="s">
        <v>87</v>
      </c>
      <c r="B51" s="31" t="s">
        <v>110</v>
      </c>
      <c r="C51" s="42">
        <f>30452.6</f>
        <v>30452.6</v>
      </c>
      <c r="D51" s="42">
        <f>30452.6</f>
        <v>30452.6</v>
      </c>
      <c r="E51" s="42">
        <f>30147.2</f>
        <v>30147.200000000001</v>
      </c>
    </row>
    <row r="52" spans="1:5" ht="50.1" customHeight="1" x14ac:dyDescent="0.25">
      <c r="A52" s="39" t="s">
        <v>96</v>
      </c>
      <c r="B52" s="31" t="s">
        <v>102</v>
      </c>
      <c r="C52" s="42">
        <f>18227.631-12133</f>
        <v>6094.6</v>
      </c>
      <c r="D52" s="42">
        <f>0</f>
        <v>0</v>
      </c>
      <c r="E52" s="42">
        <f>0</f>
        <v>0</v>
      </c>
    </row>
    <row r="53" spans="1:5" ht="65.25" customHeight="1" x14ac:dyDescent="0.25">
      <c r="A53" s="39" t="s">
        <v>90</v>
      </c>
      <c r="B53" s="31" t="s">
        <v>107</v>
      </c>
      <c r="C53" s="42">
        <f>387.82802</f>
        <v>387.8</v>
      </c>
      <c r="D53" s="42">
        <f>6140.61069</f>
        <v>6140.6</v>
      </c>
      <c r="E53" s="42">
        <f>0</f>
        <v>0</v>
      </c>
    </row>
    <row r="54" spans="1:5" ht="50.1" customHeight="1" x14ac:dyDescent="0.25">
      <c r="A54" s="39" t="s">
        <v>93</v>
      </c>
      <c r="B54" s="31" t="s">
        <v>104</v>
      </c>
      <c r="C54" s="42">
        <f>539.90716</f>
        <v>539.9</v>
      </c>
      <c r="D54" s="42">
        <f>514.47699</f>
        <v>514.5</v>
      </c>
      <c r="E54" s="42">
        <f>501.72194</f>
        <v>501.7</v>
      </c>
    </row>
    <row r="55" spans="1:5" ht="50.1" customHeight="1" x14ac:dyDescent="0.25">
      <c r="A55" s="39" t="s">
        <v>95</v>
      </c>
      <c r="B55" s="31" t="s">
        <v>101</v>
      </c>
      <c r="C55" s="42">
        <f>810</f>
        <v>810</v>
      </c>
      <c r="D55" s="42">
        <f>3200.9</f>
        <v>3200.9</v>
      </c>
      <c r="E55" s="42">
        <f>37575.5</f>
        <v>37575.5</v>
      </c>
    </row>
    <row r="56" spans="1:5" ht="34.5" customHeight="1" x14ac:dyDescent="0.25">
      <c r="A56" s="39" t="s">
        <v>92</v>
      </c>
      <c r="B56" s="31" t="s">
        <v>105</v>
      </c>
      <c r="C56" s="42">
        <f>4148.23333</f>
        <v>4148.2</v>
      </c>
      <c r="D56" s="42">
        <f>0</f>
        <v>0</v>
      </c>
      <c r="E56" s="42">
        <f>0</f>
        <v>0</v>
      </c>
    </row>
    <row r="57" spans="1:5" ht="50.1" customHeight="1" x14ac:dyDescent="0.25">
      <c r="A57" s="37" t="s">
        <v>85</v>
      </c>
      <c r="B57" s="31" t="s">
        <v>98</v>
      </c>
      <c r="C57" s="42">
        <f>2032.97693+4005.18417+969.56886+1910.14599+10722.7027</f>
        <v>19640.599999999999</v>
      </c>
      <c r="D57" s="42">
        <f>1900.81728+1129.52605+4099.18272+2435.86467</f>
        <v>9565.4</v>
      </c>
      <c r="E57" s="42">
        <f>0</f>
        <v>0</v>
      </c>
    </row>
    <row r="58" spans="1:5" ht="50.1" customHeight="1" x14ac:dyDescent="0.25">
      <c r="A58" s="39" t="s">
        <v>97</v>
      </c>
      <c r="B58" s="31" t="s">
        <v>100</v>
      </c>
      <c r="C58" s="42">
        <f>226.90924+2615.09076+5014.14591</f>
        <v>7856.1</v>
      </c>
      <c r="D58" s="42">
        <f>0</f>
        <v>0</v>
      </c>
      <c r="E58" s="42">
        <f>0</f>
        <v>0</v>
      </c>
    </row>
    <row r="59" spans="1:5" ht="15" customHeight="1" x14ac:dyDescent="0.25">
      <c r="A59" s="39" t="s">
        <v>86</v>
      </c>
      <c r="B59" s="31" t="s">
        <v>99</v>
      </c>
      <c r="C59" s="42">
        <f>4269.3+6950.5+340+3621.7+251520.9+4144.2+33468.37+600+1609.3+13560.4+9526.1+40.1+20908.45943+3350+750+189000+0.05</f>
        <v>543659.4</v>
      </c>
      <c r="D59" s="42">
        <f>6950.5+340+18779.8+4144.2+300+1609.3+9526.1+40.1+189000+750+300-189000+0.05</f>
        <v>42740.1</v>
      </c>
      <c r="E59" s="42">
        <f>6950.5+340+18779.8+4144.2+300+1609.3+9526.1+40.1+750+300</f>
        <v>42740</v>
      </c>
    </row>
    <row r="60" spans="1:5" ht="31.5" x14ac:dyDescent="0.25">
      <c r="A60" s="40" t="s">
        <v>15</v>
      </c>
      <c r="B60" s="31" t="s">
        <v>111</v>
      </c>
      <c r="C60" s="46">
        <f>SUM(C61:C65)</f>
        <v>870091.3</v>
      </c>
      <c r="D60" s="46">
        <f>SUM(D61:D65)</f>
        <v>909608.2</v>
      </c>
      <c r="E60" s="46">
        <f>SUM(E61:E65)</f>
        <v>950858.6</v>
      </c>
    </row>
    <row r="61" spans="1:5" ht="50.25" customHeight="1" x14ac:dyDescent="0.25">
      <c r="A61" s="39" t="s">
        <v>113</v>
      </c>
      <c r="B61" s="31" t="s">
        <v>112</v>
      </c>
      <c r="C61" s="43">
        <f>30814.4+730848.8+35877.4+304.92066+108.3+772.03+48762.46832+19347.1-12037.1+0.03</f>
        <v>854798.3</v>
      </c>
      <c r="D61" s="43">
        <f>30814.4+769968.8+35877.4+304.92066+108.3+772.03+49011.4173799999+19347.1-12037.1</f>
        <v>894167.3</v>
      </c>
      <c r="E61" s="43">
        <f>30814.4+811098.4+35877.4+304.92066+108.3+772.03+49011.4173799999+19347.1-12037.1</f>
        <v>935296.9</v>
      </c>
    </row>
    <row r="62" spans="1:5" ht="78.75" customHeight="1" x14ac:dyDescent="0.25">
      <c r="A62" s="39" t="s">
        <v>127</v>
      </c>
      <c r="B62" s="31" t="s">
        <v>128</v>
      </c>
      <c r="C62" s="43">
        <f>4815.4418</f>
        <v>4815.3999999999996</v>
      </c>
      <c r="D62" s="43">
        <f t="shared" ref="D62:E62" si="1">4815.4418</f>
        <v>4815.3999999999996</v>
      </c>
      <c r="E62" s="43">
        <f t="shared" si="1"/>
        <v>4815.3999999999996</v>
      </c>
    </row>
    <row r="63" spans="1:5" ht="63" x14ac:dyDescent="0.25">
      <c r="A63" s="39" t="s">
        <v>119</v>
      </c>
      <c r="B63" s="31" t="s">
        <v>118</v>
      </c>
      <c r="C63" s="43">
        <f>3325</f>
        <v>3325</v>
      </c>
      <c r="D63" s="43">
        <f>3474.1</f>
        <v>3474.1</v>
      </c>
      <c r="E63" s="43">
        <f>3595</f>
        <v>3595</v>
      </c>
    </row>
    <row r="64" spans="1:5" ht="81" customHeight="1" x14ac:dyDescent="0.25">
      <c r="A64" s="39" t="s">
        <v>114</v>
      </c>
      <c r="B64" s="31" t="s">
        <v>117</v>
      </c>
      <c r="C64" s="43">
        <f>1.62</f>
        <v>1.6</v>
      </c>
      <c r="D64" s="43">
        <f>1.726</f>
        <v>1.7</v>
      </c>
      <c r="E64" s="43">
        <f>1.559</f>
        <v>1.6</v>
      </c>
    </row>
    <row r="65" spans="1:5" ht="31.5" x14ac:dyDescent="0.25">
      <c r="A65" s="39" t="s">
        <v>115</v>
      </c>
      <c r="B65" s="31" t="s">
        <v>116</v>
      </c>
      <c r="C65" s="43">
        <f>7151</f>
        <v>7151</v>
      </c>
      <c r="D65" s="43">
        <f>7149.7</f>
        <v>7149.7</v>
      </c>
      <c r="E65" s="43">
        <f>7149.7</f>
        <v>7149.7</v>
      </c>
    </row>
    <row r="66" spans="1:5" ht="15.75" x14ac:dyDescent="0.25">
      <c r="A66" s="40" t="s">
        <v>16</v>
      </c>
      <c r="B66" s="30" t="s">
        <v>120</v>
      </c>
      <c r="C66" s="32">
        <f>C67</f>
        <v>104.2</v>
      </c>
      <c r="D66" s="32">
        <f>D67</f>
        <v>0</v>
      </c>
      <c r="E66" s="32">
        <f>E67</f>
        <v>0</v>
      </c>
    </row>
    <row r="67" spans="1:5" ht="31.5" x14ac:dyDescent="0.25">
      <c r="A67" s="39" t="s">
        <v>125</v>
      </c>
      <c r="B67" s="31" t="s">
        <v>121</v>
      </c>
      <c r="C67" s="42">
        <f>104.17</f>
        <v>104.2</v>
      </c>
      <c r="D67" s="42">
        <f>0</f>
        <v>0</v>
      </c>
      <c r="E67" s="42">
        <f>0</f>
        <v>0</v>
      </c>
    </row>
    <row r="68" spans="1:5" ht="15.75" x14ac:dyDescent="0.25">
      <c r="A68" s="40" t="s">
        <v>122</v>
      </c>
      <c r="B68" s="30" t="s">
        <v>123</v>
      </c>
      <c r="C68" s="32">
        <f>C69</f>
        <v>218.8</v>
      </c>
      <c r="D68" s="32">
        <f>D69</f>
        <v>0</v>
      </c>
      <c r="E68" s="32">
        <f>E69</f>
        <v>0</v>
      </c>
    </row>
    <row r="69" spans="1:5" ht="47.25" x14ac:dyDescent="0.25">
      <c r="A69" s="39" t="s">
        <v>124</v>
      </c>
      <c r="B69" s="31" t="s">
        <v>126</v>
      </c>
      <c r="C69" s="42">
        <v>218.8</v>
      </c>
      <c r="D69" s="42">
        <f>0</f>
        <v>0</v>
      </c>
      <c r="E69" s="42">
        <f>0</f>
        <v>0</v>
      </c>
    </row>
    <row r="70" spans="1:5" ht="15.75" x14ac:dyDescent="0.25">
      <c r="A70" s="20"/>
      <c r="B70" s="27" t="s">
        <v>13</v>
      </c>
      <c r="C70" s="32">
        <f>SUM(C42+C9)</f>
        <v>2889360.4</v>
      </c>
      <c r="D70" s="32">
        <f>SUM(D42+D9)</f>
        <v>2171041.5</v>
      </c>
      <c r="E70" s="32">
        <f>SUM(E42+E9)</f>
        <v>2124406.4</v>
      </c>
    </row>
    <row r="71" spans="1:5" ht="15.75" x14ac:dyDescent="0.2">
      <c r="A71" s="5"/>
      <c r="B71" s="10"/>
      <c r="C71" s="6"/>
    </row>
    <row r="72" spans="1:5" ht="17.25" x14ac:dyDescent="0.25">
      <c r="B72" s="11"/>
      <c r="C72" s="16"/>
    </row>
    <row r="73" spans="1:5" x14ac:dyDescent="0.2">
      <c r="B73" s="11"/>
      <c r="C73" s="15"/>
      <c r="D73" s="15"/>
      <c r="E73" s="15"/>
    </row>
    <row r="74" spans="1:5" x14ac:dyDescent="0.2">
      <c r="B74" s="11"/>
    </row>
    <row r="75" spans="1:5" x14ac:dyDescent="0.2">
      <c r="B75" s="11"/>
    </row>
    <row r="76" spans="1:5" x14ac:dyDescent="0.2">
      <c r="A76" s="1"/>
      <c r="B76" s="11"/>
      <c r="C76" s="1"/>
      <c r="D76" s="1"/>
      <c r="E76" s="1"/>
    </row>
    <row r="77" spans="1:5" x14ac:dyDescent="0.2">
      <c r="A77" s="1"/>
      <c r="B77" s="11"/>
      <c r="C77" s="1"/>
      <c r="D77" s="1"/>
      <c r="E77" s="1"/>
    </row>
    <row r="78" spans="1:5" x14ac:dyDescent="0.2">
      <c r="A78" s="1"/>
      <c r="B78" s="11"/>
      <c r="C78" s="1"/>
      <c r="D78" s="1"/>
      <c r="E78" s="1"/>
    </row>
    <row r="79" spans="1:5" x14ac:dyDescent="0.2">
      <c r="A79" s="1"/>
      <c r="B79" s="11"/>
      <c r="C79" s="1"/>
      <c r="D79" s="1"/>
      <c r="E79" s="1"/>
    </row>
  </sheetData>
  <mergeCells count="7">
    <mergeCell ref="A4:E4"/>
    <mergeCell ref="C1:E1"/>
    <mergeCell ref="C2:E2"/>
    <mergeCell ref="C6:E6"/>
    <mergeCell ref="A6:A7"/>
    <mergeCell ref="B6:B7"/>
    <mergeCell ref="A5:E5"/>
  </mergeCells>
  <phoneticPr fontId="1" type="noConversion"/>
  <printOptions horizontalCentered="1"/>
  <pageMargins left="0.78740157480314965" right="0.19685039370078741" top="0.39370078740157483" bottom="0.19685039370078741" header="0.31496062992125984" footer="0.31496062992125984"/>
  <pageSetup paperSize="9" scale="67" fitToHeight="4" orientation="portrait" r:id="rId1"/>
  <rowBreaks count="2" manualBreakCount="2">
    <brk id="29" max="8" man="1"/>
    <brk id="51" max="16383" man="1"/>
  </rowBreaks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Тереня Наталия Николаевна</cp:lastModifiedBy>
  <cp:lastPrinted>2022-11-11T13:04:50Z</cp:lastPrinted>
  <dcterms:created xsi:type="dcterms:W3CDTF">2006-09-19T12:50:58Z</dcterms:created>
  <dcterms:modified xsi:type="dcterms:W3CDTF">2023-06-29T08:53:31Z</dcterms:modified>
</cp:coreProperties>
</file>